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2" i="76" l="1"/>
  <c r="O343" i="76" s="1"/>
  <c r="O344" i="76" s="1"/>
  <c r="O345" i="76" s="1"/>
  <c r="O346" i="76" s="1"/>
  <c r="O347" i="76" s="1"/>
  <c r="O348" i="76" s="1"/>
  <c r="O349" i="76" s="1"/>
  <c r="O350" i="76" s="1"/>
  <c r="O351" i="76" s="1"/>
  <c r="O352" i="76" s="1"/>
  <c r="AJ345" i="5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K344" i="5"/>
  <c r="AK342" i="5"/>
  <c r="AK345" i="5"/>
  <c r="P341" i="76"/>
  <c r="P342" i="76"/>
  <c r="P343" i="76"/>
  <c r="P344" i="76"/>
  <c r="P345" i="76"/>
  <c r="P346" i="76"/>
  <c r="P347" i="76"/>
  <c r="P348" i="76"/>
  <c r="P349" i="76"/>
  <c r="P350" i="76"/>
  <c r="P351" i="76"/>
  <c r="P352" i="76"/>
  <c r="AK346" i="5"/>
  <c r="AK347" i="5"/>
  <c r="AK348" i="5"/>
  <c r="AK349" i="5"/>
  <c r="AK350" i="5"/>
  <c r="AK351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AK280" i="5" s="1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 s="1"/>
  <c r="AK271" i="5" s="1"/>
  <c r="N257" i="76"/>
  <c r="N268" i="76"/>
  <c r="AI270" i="5"/>
  <c r="N267" i="76"/>
  <c r="AI269" i="5"/>
  <c r="N266" i="76"/>
  <c r="N265" i="76"/>
  <c r="P266" i="76" s="1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P263" i="76" s="1"/>
  <c r="AI265" i="5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B341" i="76" s="1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M229" i="5" s="1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N183" i="76" s="1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Q226" i="76"/>
  <c r="AK281" i="5"/>
  <c r="AI78" i="5" l="1"/>
  <c r="P256" i="76"/>
  <c r="AK230" i="5"/>
  <c r="P265" i="76"/>
  <c r="AI243" i="5"/>
  <c r="P251" i="76"/>
  <c r="AK264" i="5"/>
  <c r="AK275" i="5"/>
  <c r="AK254" i="5"/>
  <c r="P262" i="76"/>
  <c r="P277" i="76"/>
  <c r="AI14" i="5"/>
  <c r="N210" i="76"/>
  <c r="P210" i="76" s="1"/>
  <c r="AI247" i="5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37" i="76" l="1"/>
  <c r="AK248" i="5"/>
  <c r="AK242" i="5"/>
  <c r="AK215" i="5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<sst xmlns="http://schemas.openxmlformats.org/spreadsheetml/2006/main" count="81" uniqueCount="70">
  <si>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</si>
  <si>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</si>
  <si>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</si>
  <si>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</si>
  <si>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</si>
  <si>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</si>
  <si>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</si>
  <si>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</si>
  <si>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</si>
  <si>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</si>
  <si>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</si>
  <si>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</si>
  <si>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</si>
  <si>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</si>
  <si>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</si>
  <si>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</si>
  <si>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</si>
  <si>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</si>
  <si>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</si>
  <si>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</si>
  <si>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</si>
  <si>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</si>
  <si>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</si>
  <si>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</si>
  <si>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</si>
  <si>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</si>
  <si>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</si>
  <si>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</si>
  <si>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</si>
  <si>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</si>
  <si>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</si>
  <si>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</si>
  <si>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</si>
  <si>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</si>
  <si>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</si>
  <si>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</si>
  <si>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</si>
  <si>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</si>
  <si>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</si>
  <si>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</si>
  <si>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</si>
  <si>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</si>
  <si>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</si>
  <si>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</si>
  <si>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</si>
  <si>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</si>
  <si>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</si>
  <si>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</si>
  <si>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</si>
  <si>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</si>
  <si>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</si>
  <si>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</si>
  <si>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</si>
  <si>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</si>
  <si>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</si>
  <si>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</si>
  <si>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</si>
  <si>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</si>
  <si>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</si>
  <si>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</si>
  <si>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</si>
  <si>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</si>
  <si>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</si>
  <si>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</si>
  <si>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</si>
  <si>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</si>
  <si>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</si>
  <si>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MAYO DEL 2022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</si>
  <si>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mayo de 2022 fue de 128,498 BPD; superior en 2,949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</si>
  <si>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mayo 2022 fue de 1'410 MMPCD; superior en 119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</si>
</sst>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2" fontId="0" fillId="13" borderId="0" xfId="0" applyNumberFormat="1" applyFill="1" applyBorder="1" applyAlignment="1">
      <alignment horizontal="center"/>
    </xf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1536"/>
        <c:axId val="97771520"/>
      </c:scatterChart>
      <c:valAx>
        <c:axId val="9776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771520"/>
        <c:crosses val="autoZero"/>
        <c:crossBetween val="midCat"/>
      </c:valAx>
      <c:valAx>
        <c:axId val="977715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761536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79072"/>
        <c:axId val="97784960"/>
      </c:scatterChart>
      <c:valAx>
        <c:axId val="9777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784960"/>
        <c:crosses val="autoZero"/>
        <c:crossBetween val="midCat"/>
      </c:valAx>
      <c:valAx>
        <c:axId val="97784960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7779072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8"/>
              <c:layout>
                <c:manualLayout>
                  <c:x val="0"/>
                  <c:y val="-4.8446334939395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0A-4A87-922A-028EF955E7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(no)'!$C$200:$C$348</c:f>
              <c:numCache>
                <c:formatCode>0.00</c:formatCode>
                <c:ptCount val="149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</c:numCache>
            </c:numRef>
          </c:xVal>
          <c:yVal>
            <c:numRef>
              <c:f>'ESTRUCTURA oil (no)'!$AI$200:$AI$348</c:f>
              <c:numCache>
                <c:formatCode>#,##0</c:formatCode>
                <c:ptCount val="149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  <c:pt idx="145">
                  <c:v>134308</c:v>
                </c:pt>
                <c:pt idx="146">
                  <c:v>113500</c:v>
                </c:pt>
                <c:pt idx="147">
                  <c:v>125549</c:v>
                </c:pt>
                <c:pt idx="148">
                  <c:v>128498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8"/>
              <c:layout>
                <c:manualLayout>
                  <c:x val="0"/>
                  <c:y val="2.260828963838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0A-4A87-922A-028EF955E7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(no)'!$C$200:$C$348</c:f>
              <c:numCache>
                <c:formatCode>0.00</c:formatCode>
                <c:ptCount val="149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  <c:pt idx="145">
                  <c:v>2022.1666554000167</c:v>
                </c:pt>
                <c:pt idx="146">
                  <c:v>2022.2499887000167</c:v>
                </c:pt>
                <c:pt idx="147">
                  <c:v>2022.3333220000168</c:v>
                </c:pt>
                <c:pt idx="148">
                  <c:v>2022.4166553000168</c:v>
                </c:pt>
              </c:numCache>
            </c:numRef>
          </c:xVal>
          <c:yVal>
            <c:numRef>
              <c:f>'ESTRUCTURA oil (no)'!$AJ$200:$AJ$348</c:f>
              <c:numCache>
                <c:formatCode>#,##0</c:formatCode>
                <c:ptCount val="149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125857</c:v>
                </c:pt>
                <c:pt idx="145">
                  <c:v>125857</c:v>
                </c:pt>
                <c:pt idx="146">
                  <c:v>125857</c:v>
                </c:pt>
                <c:pt idx="147">
                  <c:v>125857</c:v>
                </c:pt>
                <c:pt idx="148">
                  <c:v>125857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24224"/>
        <c:axId val="97925760"/>
      </c:scatterChart>
      <c:valAx>
        <c:axId val="97924224"/>
        <c:scaling>
          <c:orientation val="minMax"/>
          <c:max val="2022.5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925760"/>
        <c:crosses val="autoZero"/>
        <c:crossBetween val="midCat"/>
        <c:majorUnit val="1"/>
        <c:minorUnit val="0.1"/>
      </c:valAx>
      <c:valAx>
        <c:axId val="97925760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924224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8"/>
              <c:layout>
                <c:manualLayout>
                  <c:x val="1.6492054335994831E-3"/>
                  <c:y val="-3.483768804433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E56-4E38-A476-907B83760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(no)'!$B$197:$B$345</c:f>
              <c:numCache>
                <c:formatCode>0</c:formatCode>
                <c:ptCount val="149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</c:numCache>
            </c:numRef>
          </c:xVal>
          <c:yVal>
            <c:numRef>
              <c:f>'ESTRUCTURA gas (no)'!$N$197:$N$345</c:f>
              <c:numCache>
                <c:formatCode>#,##0</c:formatCode>
                <c:ptCount val="149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  <c:pt idx="145">
                  <c:v>1344504.6222000001</c:v>
                </c:pt>
                <c:pt idx="146">
                  <c:v>1259914.1980999999</c:v>
                </c:pt>
                <c:pt idx="147">
                  <c:v>1291170.9442</c:v>
                </c:pt>
                <c:pt idx="148">
                  <c:v>1410361.6444000001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8"/>
              <c:layout>
                <c:manualLayout>
                  <c:x val="0"/>
                  <c:y val="4.7505938242280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E56-4E38-A476-907B83760C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(no)'!$B$197:$B$345</c:f>
              <c:numCache>
                <c:formatCode>0</c:formatCode>
                <c:ptCount val="149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  <c:pt idx="145" formatCode="0.00">
                  <c:v>2022.1666554000149</c:v>
                </c:pt>
                <c:pt idx="146" formatCode="0.00">
                  <c:v>2022.2499887000149</c:v>
                </c:pt>
                <c:pt idx="147" formatCode="0.00">
                  <c:v>2022.333322000015</c:v>
                </c:pt>
                <c:pt idx="148" formatCode="0.00">
                  <c:v>2022.416655300015</c:v>
                </c:pt>
              </c:numCache>
            </c:numRef>
          </c:xVal>
          <c:yVal>
            <c:numRef>
              <c:f>'ESTRUCTURA gas (no)'!$O$197:$O$345</c:f>
              <c:numCache>
                <c:formatCode>#,##0</c:formatCode>
                <c:ptCount val="149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1332505.1218999999</c:v>
                </c:pt>
                <c:pt idx="145">
                  <c:v>1332505.1218999999</c:v>
                </c:pt>
                <c:pt idx="146">
                  <c:v>1332505.1218999999</c:v>
                </c:pt>
                <c:pt idx="147">
                  <c:v>1332505.1218999999</c:v>
                </c:pt>
                <c:pt idx="148">
                  <c:v>1332505.1218999999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33408"/>
        <c:axId val="99643392"/>
      </c:scatterChart>
      <c:valAx>
        <c:axId val="99633408"/>
        <c:scaling>
          <c:orientation val="minMax"/>
          <c:max val="2022.5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643392"/>
        <c:crosses val="autoZero"/>
        <c:crossBetween val="midCat"/>
        <c:majorUnit val="1"/>
        <c:minorUnit val="0.1"/>
      </c:valAx>
      <c:valAx>
        <c:axId val="99643392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633408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xmlns="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xmlns="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309790</xdr:colOff>
      <xdr:row>5</xdr:row>
      <xdr:rowOff>105743</xdr:rowOff>
    </xdr:from>
    <xdr:to>
      <xdr:col>12</xdr:col>
      <xdr:colOff>190501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xmlns="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207453</xdr:colOff>
      <xdr:row>51</xdr:row>
      <xdr:rowOff>5378</xdr:rowOff>
    </xdr:from>
    <xdr:to>
      <xdr:col>12</xdr:col>
      <xdr:colOff>149679</xdr:colOff>
      <xdr:row>75</xdr:row>
      <xdr:rowOff>157778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xmlns="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55"/>
  <sheetViews>
    <sheetView topLeftCell="A5" workbookViewId="0">
      <pane xSplit="4" ySplit="3" topLeftCell="AI330" activePane="bottomRight" state="frozen"/>
      <selection activeCell="A5" sqref="A5"/>
      <selection pane="topRight" activeCell="E5" sqref="E5"/>
      <selection pane="bottomLeft" activeCell="A8" sqref="A8"/>
      <selection pane="bottomRight" activeCell="AQ359" sqref="AQ359"/>
    </sheetView>
  </sheetViews>
  <sheetFormatPr baseColWidth="10" defaultColWidth="11.42578125" defaultRowHeight="12.75" x14ac:dyDescent="0.2"/>
  <cols>
    <col min="1" max="1" width="2.85546875" style="135" customWidth="1"/>
    <col min="2" max="2" width="1.42578125" style="135" customWidth="1"/>
    <col min="3" max="3" width="9.28515625" style="181" customWidth="1"/>
    <col min="4" max="4" width="10.5703125" style="135" bestFit="1" customWidth="1"/>
    <col min="5" max="5" width="9" style="135" hidden="1" customWidth="1"/>
    <col min="6" max="6" width="10.140625" style="135" hidden="1" customWidth="1"/>
    <col min="7" max="7" width="11" style="135" hidden="1" customWidth="1"/>
    <col min="8" max="8" width="9.7109375" style="135" hidden="1" customWidth="1"/>
    <col min="9" max="9" width="11" style="135" hidden="1" customWidth="1"/>
    <col min="10" max="10" width="10.140625" style="135" hidden="1" customWidth="1"/>
    <col min="11" max="11" width="8.5703125" style="135" hidden="1" customWidth="1"/>
    <col min="12" max="12" width="12" style="135" hidden="1" customWidth="1"/>
    <col min="13" max="13" width="11.85546875" style="135" hidden="1" customWidth="1"/>
    <col min="14" max="14" width="10.5703125" style="135" hidden="1" customWidth="1"/>
    <col min="15" max="15" width="12" style="135" hidden="1" customWidth="1"/>
    <col min="16" max="16" width="10.140625" style="135" hidden="1" customWidth="1"/>
    <col min="17" max="17" width="8.5703125" style="135" hidden="1" customWidth="1"/>
    <col min="18" max="18" width="11" style="135" hidden="1" customWidth="1"/>
    <col min="19" max="20" width="12.42578125" style="135" hidden="1" customWidth="1"/>
    <col min="21" max="22" width="15.140625" style="135" hidden="1" customWidth="1"/>
    <col min="23" max="26" width="14" style="135" hidden="1" customWidth="1"/>
    <col min="27" max="27" width="12.28515625" style="135" hidden="1" customWidth="1"/>
    <col min="28" max="28" width="8.28515625" style="135" hidden="1" customWidth="1"/>
    <col min="29" max="34" width="10.140625" style="135" hidden="1" customWidth="1"/>
    <col min="35" max="35" width="11" style="135" customWidth="1"/>
    <col min="36" max="36" width="13.7109375" style="142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17">
        <v>3869</v>
      </c>
      <c r="K85" s="317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17">
        <v>4034</v>
      </c>
      <c r="K86" s="317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17">
        <v>4285</v>
      </c>
      <c r="K87" s="317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17">
        <v>4266</v>
      </c>
      <c r="K88" s="317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17">
        <v>4352</v>
      </c>
      <c r="K89" s="317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21">
        <v>4271.2666666666664</v>
      </c>
      <c r="K90" s="321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17">
        <v>4265.2258064516127</v>
      </c>
      <c r="K91" s="317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17">
        <v>4113.322580645161</v>
      </c>
      <c r="K92" s="317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17">
        <v>4045.2142857142858</v>
      </c>
      <c r="K93" s="317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17">
        <v>3904.0645161290322</v>
      </c>
      <c r="K94" s="317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17">
        <v>4358.2</v>
      </c>
      <c r="K95" s="317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17">
        <v>4537.3870967741932</v>
      </c>
      <c r="K96" s="317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17">
        <v>4451</v>
      </c>
      <c r="K97" s="317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17">
        <v>4561</v>
      </c>
      <c r="K98" s="317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17">
        <v>4385</v>
      </c>
      <c r="K99" s="317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17">
        <v>4487</v>
      </c>
      <c r="K100" s="317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17">
        <v>4265</v>
      </c>
      <c r="K101" s="317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17">
        <v>4133</v>
      </c>
      <c r="K102" s="317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17">
        <v>3945</v>
      </c>
      <c r="K103" s="317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17">
        <v>3743</v>
      </c>
      <c r="K104" s="317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17">
        <v>3792</v>
      </c>
      <c r="K105" s="317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17">
        <v>3462</v>
      </c>
      <c r="K106" s="317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17">
        <v>3441</v>
      </c>
      <c r="K107" s="317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17">
        <v>3531</v>
      </c>
      <c r="K108" s="317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17">
        <v>3546</v>
      </c>
      <c r="K109" s="317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17">
        <v>3405</v>
      </c>
      <c r="K110" s="317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17">
        <v>3341</v>
      </c>
      <c r="K111" s="317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17">
        <v>3357</v>
      </c>
      <c r="K112" s="317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17">
        <v>3346</v>
      </c>
      <c r="K113" s="317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17">
        <v>3341</v>
      </c>
      <c r="K114" s="317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17">
        <v>3291</v>
      </c>
      <c r="K115" s="317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17">
        <v>3103</v>
      </c>
      <c r="K116" s="317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17">
        <v>3002</v>
      </c>
      <c r="K117" s="317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17">
        <v>2920</v>
      </c>
      <c r="K118" s="317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17">
        <v>3023</v>
      </c>
      <c r="K119" s="317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17">
        <v>3080</v>
      </c>
      <c r="K120" s="317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17">
        <v>3168</v>
      </c>
      <c r="K121" s="317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17">
        <v>3369</v>
      </c>
      <c r="K122" s="317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17">
        <v>3462</v>
      </c>
      <c r="K123" s="317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17">
        <v>3406</v>
      </c>
      <c r="K124" s="317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17">
        <v>3500</v>
      </c>
      <c r="K125" s="317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17">
        <v>3472</v>
      </c>
      <c r="K126" s="317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17">
        <v>4015</v>
      </c>
      <c r="K127" s="317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17">
        <v>3622</v>
      </c>
      <c r="K128" s="317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17">
        <v>3604</v>
      </c>
      <c r="K129" s="317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17">
        <v>3645</v>
      </c>
      <c r="K130" s="317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17">
        <v>3604.5</v>
      </c>
      <c r="K131" s="317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17">
        <v>3630</v>
      </c>
      <c r="K132" s="317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17">
        <v>3661.0666666666666</v>
      </c>
      <c r="K133" s="317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17">
        <v>3662.0322580645161</v>
      </c>
      <c r="K134" s="317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17">
        <v>3615.6451612903224</v>
      </c>
      <c r="K135" s="317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17">
        <v>3657.0333333333333</v>
      </c>
      <c r="K136" s="317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17">
        <v>3615.483870967742</v>
      </c>
      <c r="K137" s="317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17">
        <v>3553.5666666666666</v>
      </c>
      <c r="K138" s="317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17">
        <v>3515</v>
      </c>
      <c r="K139" s="317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17">
        <v>3414</v>
      </c>
      <c r="K140" s="317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17">
        <v>3357</v>
      </c>
      <c r="K141" s="317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17">
        <v>3434.3225806451615</v>
      </c>
      <c r="K142" s="317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17">
        <v>3363</v>
      </c>
      <c r="K143" s="317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17">
        <v>3416</v>
      </c>
      <c r="K144" s="317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17">
        <v>3386</v>
      </c>
      <c r="K145" s="317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17">
        <v>3353</v>
      </c>
      <c r="K146" s="317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17">
        <v>3355</v>
      </c>
      <c r="K147" s="317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17">
        <v>3402</v>
      </c>
      <c r="K148" s="317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17">
        <v>3320</v>
      </c>
      <c r="K149" s="317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17">
        <v>3087</v>
      </c>
      <c r="K150" s="320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17">
        <v>3053</v>
      </c>
      <c r="K151" s="320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17">
        <v>3163.19</v>
      </c>
      <c r="K152" s="317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20">
        <v>3199</v>
      </c>
      <c r="K153" s="320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20">
        <v>3167</v>
      </c>
      <c r="K154" s="320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20">
        <v>3182</v>
      </c>
      <c r="K155" s="320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17">
        <v>3146</v>
      </c>
      <c r="K156" s="317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17">
        <v>3103</v>
      </c>
      <c r="K157" s="317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17">
        <v>3059.6451612903224</v>
      </c>
      <c r="K158" s="317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19">
        <f>93766/31</f>
        <v>3024.7096774193546</v>
      </c>
      <c r="K159" s="319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20">
        <v>2984</v>
      </c>
      <c r="K160" s="320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17">
        <v>3008</v>
      </c>
      <c r="K161" s="317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20">
        <v>2909</v>
      </c>
      <c r="K162" s="320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17">
        <v>2685</v>
      </c>
      <c r="K163" s="317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20">
        <v>2853</v>
      </c>
      <c r="K164" s="320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17">
        <f>80304/28</f>
        <v>2868</v>
      </c>
      <c r="K165" s="317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17">
        <v>2812</v>
      </c>
      <c r="K166" s="317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19">
        <f>90267/30</f>
        <v>3008.9</v>
      </c>
      <c r="K167" s="319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19">
        <f>91935/31</f>
        <v>2965.6451612903224</v>
      </c>
      <c r="K168" s="319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19">
        <f>87309/30</f>
        <v>2910.3</v>
      </c>
      <c r="K169" s="319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19">
        <f>90019/31</f>
        <v>2903.8387096774195</v>
      </c>
      <c r="K170" s="319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19">
        <f>89184/31</f>
        <v>2876.9032258064517</v>
      </c>
      <c r="K171" s="319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19">
        <f>86428/30</f>
        <v>2880.9333333333334</v>
      </c>
      <c r="K172" s="319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19">
        <f>87919/31</f>
        <v>2836.0967741935483</v>
      </c>
      <c r="K173" s="319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19">
        <f>84130/30</f>
        <v>2804.3333333333335</v>
      </c>
      <c r="K174" s="319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19">
        <f>82208/31</f>
        <v>2651.8709677419356</v>
      </c>
      <c r="K175" s="319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19">
        <f>86419/31</f>
        <v>2787.7096774193546</v>
      </c>
      <c r="K176" s="319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19">
        <f>74593/29</f>
        <v>2572.1724137931033</v>
      </c>
      <c r="K177" s="319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17">
        <f>85577/31</f>
        <v>2760.5483870967741</v>
      </c>
      <c r="K178" s="317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17">
        <f>82758/30</f>
        <v>2758.6</v>
      </c>
      <c r="K179" s="317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19">
        <f>85851/31</f>
        <v>2769.3870967741937</v>
      </c>
      <c r="K180" s="319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19">
        <f>87560/30</f>
        <v>2918.6666666666665</v>
      </c>
      <c r="K181" s="319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19">
        <f>88738/31</f>
        <v>2862.516129032258</v>
      </c>
      <c r="K182" s="319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17">
        <f>88926/31</f>
        <v>2868.5806451612902</v>
      </c>
      <c r="K183" s="317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17">
        <f>86401/30</f>
        <v>2880.0333333333333</v>
      </c>
      <c r="K184" s="317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17">
        <v>2812</v>
      </c>
      <c r="K185" s="317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17">
        <f>80326/30</f>
        <v>2677.5333333333333</v>
      </c>
      <c r="K186" s="317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17">
        <f>79547/31</f>
        <v>2566.0322580645161</v>
      </c>
      <c r="K187" s="317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17">
        <f>84836/31</f>
        <v>2736.6451612903224</v>
      </c>
      <c r="K188" s="317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17">
        <f>77894/28</f>
        <v>2781.9285714285716</v>
      </c>
      <c r="K189" s="317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17">
        <f>85996/31</f>
        <v>2774.0645161290322</v>
      </c>
      <c r="K190" s="317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17">
        <f>79835/30</f>
        <v>2661.1666666666665</v>
      </c>
      <c r="K191" s="317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17">
        <f>85955/31</f>
        <v>2772.7419354838707</v>
      </c>
      <c r="K192" s="317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17">
        <f>83911/30</f>
        <v>2797.0333333333333</v>
      </c>
      <c r="K193" s="317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17">
        <f>84624/31</f>
        <v>2729.8064516129034</v>
      </c>
      <c r="K194" s="317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17">
        <f>90419/31</f>
        <v>2916.7419354838707</v>
      </c>
      <c r="K195" s="317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17">
        <f>90750/30</f>
        <v>3025</v>
      </c>
      <c r="K196" s="317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17">
        <f>107300/31</f>
        <v>3461.2903225806454</v>
      </c>
      <c r="K197" s="317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17">
        <f>108534/30</f>
        <v>3617.8</v>
      </c>
      <c r="K198" s="317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17">
        <f>103950/31</f>
        <v>3353.2258064516127</v>
      </c>
      <c r="K199" s="317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17">
        <f>120268/31</f>
        <v>3879.6129032258063</v>
      </c>
      <c r="K200" s="317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17">
        <f>93325/28</f>
        <v>3333.0357142857142</v>
      </c>
      <c r="K201" s="317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17">
        <f>109834/31</f>
        <v>3543.0322580645161</v>
      </c>
      <c r="K202" s="317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17">
        <f>110030/30</f>
        <v>3667.6666666666665</v>
      </c>
      <c r="K203" s="317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17">
        <f>97085/31</f>
        <v>3131.7741935483873</v>
      </c>
      <c r="K204" s="317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17">
        <f>106530/30</f>
        <v>3551</v>
      </c>
      <c r="K205" s="317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17">
        <f>91473/31</f>
        <v>2950.7419354838707</v>
      </c>
      <c r="K206" s="317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17">
        <f>81817/31</f>
        <v>2639.2580645161293</v>
      </c>
      <c r="K207" s="317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17">
        <f>80223/30</f>
        <v>2674.1</v>
      </c>
      <c r="K208" s="317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17">
        <f>87966/31</f>
        <v>2837.6129032258063</v>
      </c>
      <c r="K209" s="317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17">
        <f>87026/30</f>
        <v>2900.8666666666668</v>
      </c>
      <c r="K210" s="317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17">
        <v>2743</v>
      </c>
      <c r="K211" s="317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17">
        <f>84980/31</f>
        <v>2741.2903225806454</v>
      </c>
      <c r="K212" s="317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17">
        <f>81774/28</f>
        <v>2920.5</v>
      </c>
      <c r="K213" s="317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17">
        <f>87762/31</f>
        <v>2831.0322580645161</v>
      </c>
      <c r="K214" s="317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17">
        <f>82573/30</f>
        <v>2752.4333333333334</v>
      </c>
      <c r="K215" s="317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17">
        <v>2798</v>
      </c>
      <c r="K216" s="317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17">
        <f>88734/30</f>
        <v>2957.8</v>
      </c>
      <c r="K217" s="317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17">
        <f>94911/31</f>
        <v>3061.6451612903224</v>
      </c>
      <c r="K218" s="317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17">
        <f>97382/31</f>
        <v>3141.3548387096776</v>
      </c>
      <c r="K219" s="317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17">
        <f>97457/30</f>
        <v>3248.5666666666666</v>
      </c>
      <c r="K220" s="317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17">
        <f>99680/31</f>
        <v>3215.483870967742</v>
      </c>
      <c r="K221" s="317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17">
        <f>104127/30</f>
        <v>3470.9</v>
      </c>
      <c r="K222" s="317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18">
        <v>3436</v>
      </c>
      <c r="K223" s="318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22">
        <v>3291.6451612903202</v>
      </c>
      <c r="K224" s="322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17">
        <f>83102/29</f>
        <v>2865.5862068965516</v>
      </c>
      <c r="K225" s="317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17">
        <f>99764/31</f>
        <v>3218.1935483870966</v>
      </c>
      <c r="K226" s="317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17">
        <v>3018.4333333333334</v>
      </c>
      <c r="K227" s="317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17">
        <v>3254.4193548387102</v>
      </c>
      <c r="K228" s="317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17">
        <v>3280.2</v>
      </c>
      <c r="K229" s="317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17">
        <v>3272.1612903225805</v>
      </c>
      <c r="K230" s="317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17">
        <v>3518.0322580645202</v>
      </c>
      <c r="K231" s="317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17">
        <v>3496</v>
      </c>
      <c r="K232" s="317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17">
        <f>113288/31</f>
        <v>3654.4516129032259</v>
      </c>
      <c r="K233" s="317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17">
        <v>3587</v>
      </c>
      <c r="K234" s="317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18">
        <v>3640.741935</v>
      </c>
      <c r="K235" s="318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18">
        <f>104345/31</f>
        <v>3365.9677419354839</v>
      </c>
      <c r="K236" s="318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18">
        <f>98920/28</f>
        <v>3532.8571428571427</v>
      </c>
      <c r="K237" s="318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18">
        <f>93904/31</f>
        <v>3029.1612903225805</v>
      </c>
      <c r="K238" s="318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15">
        <f>95861/30</f>
        <v>3195.3666666666668</v>
      </c>
      <c r="K239" s="316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15">
        <f>109894/31</f>
        <v>3544.9677419354839</v>
      </c>
      <c r="K240" s="316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15">
        <f>92416/30</f>
        <v>3080.5333333333333</v>
      </c>
      <c r="K241" s="316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15">
        <f>112945/31</f>
        <v>3643.3870967741937</v>
      </c>
      <c r="K242" s="316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15">
        <f>115529/31</f>
        <v>3726.7419354838707</v>
      </c>
      <c r="K243" s="316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15">
        <f>111777/30</f>
        <v>3725.9</v>
      </c>
      <c r="K244" s="316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15">
        <f>110419/31</f>
        <v>3561.9032258064517</v>
      </c>
      <c r="K245" s="316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15">
        <f>105792/30</f>
        <v>3526.4</v>
      </c>
      <c r="K246" s="316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15">
        <f>110534/31</f>
        <v>3565.6129032258063</v>
      </c>
      <c r="K247" s="316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309">
        <f>110291/31</f>
        <v>3557.7741935483873</v>
      </c>
      <c r="K248" s="310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309">
        <f>101369/28</f>
        <v>3620.3214285714284</v>
      </c>
      <c r="K249" s="310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309">
        <f>112963/31</f>
        <v>3643.9677419354839</v>
      </c>
      <c r="K250" s="310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309">
        <f>108338/30</f>
        <v>3611.2666666666669</v>
      </c>
      <c r="K251" s="310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309">
        <f>109035/31</f>
        <v>3517.2580645161293</v>
      </c>
      <c r="K252" s="310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309">
        <v>3547</v>
      </c>
      <c r="K253" s="310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309">
        <v>3668.6129032258063</v>
      </c>
      <c r="K254" s="310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309">
        <v>3622.1612903225805</v>
      </c>
      <c r="K255" s="310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309">
        <v>3566</v>
      </c>
      <c r="K256" s="310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309">
        <v>3564</v>
      </c>
      <c r="K257" s="310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309">
        <v>3483.9666666666667</v>
      </c>
      <c r="K258" s="310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11">
        <v>3553.4516129032259</v>
      </c>
      <c r="K259" s="312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13">
        <v>3458.1612903225805</v>
      </c>
      <c r="K260" s="314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13">
        <v>3550.9285714285716</v>
      </c>
      <c r="K261" s="314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13">
        <v>3401.6451612903224</v>
      </c>
      <c r="K262" s="314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13">
        <v>3415.6666666666665</v>
      </c>
      <c r="K263" s="314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13">
        <v>3440.9677419354839</v>
      </c>
      <c r="K264" s="314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13">
        <v>3394.3</v>
      </c>
      <c r="K265" s="314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13">
        <v>3407.0645161290322</v>
      </c>
      <c r="K266" s="314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13">
        <v>3457.1290322580599</v>
      </c>
      <c r="K267" s="314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13">
        <v>3365.7666666666701</v>
      </c>
      <c r="K268" s="314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13">
        <v>3472.9677419354839</v>
      </c>
      <c r="K269" s="314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13">
        <v>3349.4</v>
      </c>
      <c r="K270" s="314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13">
        <v>3288.8709677419356</v>
      </c>
      <c r="K271" s="314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7">
        <v>3243.3225806451601</v>
      </c>
      <c r="K272" s="308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7">
        <v>3242.8965517241381</v>
      </c>
      <c r="K273" s="308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7">
        <v>2940.9032258064499</v>
      </c>
      <c r="K274" s="308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7">
        <v>3179.3333333333298</v>
      </c>
      <c r="K275" s="308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7">
        <v>3165.16129032258</v>
      </c>
      <c r="K276" s="308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7">
        <v>3254.8666666666668</v>
      </c>
      <c r="K277" s="308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7">
        <v>3235.8387096774195</v>
      </c>
      <c r="K278" s="308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">
      <c r="C332" s="290">
        <f t="shared" ref="C332:C355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1" si="54">+AJ335</f>
        <v>119508</v>
      </c>
      <c r="AK336" s="291">
        <f t="shared" si="53"/>
        <v>16607</v>
      </c>
    </row>
    <row r="337" spans="3:37" x14ac:dyDescent="0.2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>+AJ341</f>
        <v>119508</v>
      </c>
      <c r="AK342" s="291">
        <f>+AI342-AI341</f>
        <v>-7266</v>
      </c>
    </row>
    <row r="343" spans="3:37" x14ac:dyDescent="0.2">
      <c r="C343" s="290">
        <f t="shared" si="52"/>
        <v>2021.9999888000166</v>
      </c>
      <c r="D343" s="297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98">
        <v>122709</v>
      </c>
      <c r="AJ343" s="299">
        <f>+AJ342</f>
        <v>119508</v>
      </c>
      <c r="AK343" s="291">
        <f>+AI343-AI342</f>
        <v>432</v>
      </c>
    </row>
    <row r="344" spans="3:37" x14ac:dyDescent="0.2">
      <c r="C344" s="294">
        <f t="shared" si="52"/>
        <v>2022.0833221000166</v>
      </c>
      <c r="D344" s="295">
        <v>44562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6">
        <v>128239</v>
      </c>
      <c r="AJ344" s="244">
        <v>125857</v>
      </c>
      <c r="AK344" s="296">
        <f>+AI344-AI343</f>
        <v>5530</v>
      </c>
    </row>
    <row r="345" spans="3:37" x14ac:dyDescent="0.2">
      <c r="C345" s="294">
        <f t="shared" si="52"/>
        <v>2022.1666554000167</v>
      </c>
      <c r="D345" s="295">
        <v>44593</v>
      </c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5">
        <v>134308</v>
      </c>
      <c r="AJ345" s="244">
        <f t="shared" ref="AJ345:AJ355" si="56">+AJ344</f>
        <v>125857</v>
      </c>
      <c r="AK345" s="296">
        <f>+AI345-AI344</f>
        <v>6069</v>
      </c>
    </row>
    <row r="346" spans="3:37" x14ac:dyDescent="0.2">
      <c r="C346" s="294">
        <f t="shared" si="52"/>
        <v>2022.2499887000167</v>
      </c>
      <c r="D346" s="295">
        <v>44621</v>
      </c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5">
        <v>113500</v>
      </c>
      <c r="AJ346" s="244">
        <f t="shared" si="56"/>
        <v>125857</v>
      </c>
      <c r="AK346" s="296">
        <f t="shared" ref="AK346:AK355" si="57">+AI346-AI345</f>
        <v>-20808</v>
      </c>
    </row>
    <row r="347" spans="3:37" x14ac:dyDescent="0.2">
      <c r="C347" s="294">
        <f t="shared" si="52"/>
        <v>2022.3333220000168</v>
      </c>
      <c r="D347" s="295">
        <v>44652</v>
      </c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5">
        <v>125549</v>
      </c>
      <c r="AJ347" s="244">
        <f t="shared" si="56"/>
        <v>125857</v>
      </c>
      <c r="AK347" s="296">
        <f t="shared" si="57"/>
        <v>12049</v>
      </c>
    </row>
    <row r="348" spans="3:37" x14ac:dyDescent="0.2">
      <c r="C348" s="294">
        <f t="shared" si="52"/>
        <v>2022.4166553000168</v>
      </c>
      <c r="D348" s="295">
        <v>44682</v>
      </c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5">
        <v>128498</v>
      </c>
      <c r="AJ348" s="244">
        <f t="shared" si="56"/>
        <v>125857</v>
      </c>
      <c r="AK348" s="296">
        <f t="shared" si="57"/>
        <v>2949</v>
      </c>
    </row>
    <row r="349" spans="3:37" x14ac:dyDescent="0.2">
      <c r="C349" s="294">
        <f t="shared" si="52"/>
        <v>2022.4999886000169</v>
      </c>
      <c r="D349" s="295">
        <v>44713</v>
      </c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5"/>
      <c r="AJ349" s="244">
        <f t="shared" si="56"/>
        <v>125857</v>
      </c>
      <c r="AK349" s="296">
        <f t="shared" si="57"/>
        <v>-128498</v>
      </c>
    </row>
    <row r="350" spans="3:37" x14ac:dyDescent="0.2">
      <c r="C350" s="294">
        <f t="shared" si="52"/>
        <v>2022.5833219000169</v>
      </c>
      <c r="D350" s="295">
        <v>44743</v>
      </c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5"/>
      <c r="AJ350" s="244">
        <f t="shared" si="56"/>
        <v>125857</v>
      </c>
      <c r="AK350" s="296">
        <f t="shared" si="57"/>
        <v>0</v>
      </c>
    </row>
    <row r="351" spans="3:37" x14ac:dyDescent="0.2">
      <c r="C351" s="294">
        <f t="shared" si="52"/>
        <v>2022.666655200017</v>
      </c>
      <c r="D351" s="295">
        <v>44774</v>
      </c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5"/>
      <c r="AJ351" s="244">
        <f t="shared" si="56"/>
        <v>125857</v>
      </c>
      <c r="AK351" s="296">
        <f t="shared" si="57"/>
        <v>0</v>
      </c>
    </row>
    <row r="352" spans="3:37" x14ac:dyDescent="0.2">
      <c r="C352" s="294">
        <f t="shared" si="52"/>
        <v>2022.749988500017</v>
      </c>
      <c r="D352" s="295">
        <v>44805</v>
      </c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5"/>
      <c r="AJ352" s="244">
        <f t="shared" si="56"/>
        <v>125857</v>
      </c>
      <c r="AK352" s="296">
        <f t="shared" si="57"/>
        <v>0</v>
      </c>
    </row>
    <row r="353" spans="3:37" x14ac:dyDescent="0.2">
      <c r="C353" s="294">
        <f t="shared" si="52"/>
        <v>2022.8333218000171</v>
      </c>
      <c r="D353" s="295">
        <v>44835</v>
      </c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5"/>
      <c r="AJ353" s="244">
        <f t="shared" si="56"/>
        <v>125857</v>
      </c>
      <c r="AK353" s="296">
        <f t="shared" si="57"/>
        <v>0</v>
      </c>
    </row>
    <row r="354" spans="3:37" x14ac:dyDescent="0.2">
      <c r="C354" s="294">
        <f t="shared" si="52"/>
        <v>2022.9166551000171</v>
      </c>
      <c r="D354" s="295">
        <v>44866</v>
      </c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5"/>
      <c r="AJ354" s="244">
        <f t="shared" si="56"/>
        <v>125857</v>
      </c>
      <c r="AK354" s="296">
        <f t="shared" si="57"/>
        <v>0</v>
      </c>
    </row>
    <row r="355" spans="3:37" x14ac:dyDescent="0.2">
      <c r="C355" s="294">
        <f t="shared" si="52"/>
        <v>2022.9999884000172</v>
      </c>
      <c r="D355" s="295">
        <v>44896</v>
      </c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5"/>
      <c r="AJ355" s="244">
        <f t="shared" si="56"/>
        <v>125857</v>
      </c>
      <c r="AK355" s="296">
        <f t="shared" si="57"/>
        <v>0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38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O345" sqref="O345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31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23" t="s">
        <v>31</v>
      </c>
      <c r="AG11" s="323"/>
      <c r="AH11" s="323"/>
      <c r="AI11" s="323"/>
      <c r="AJ11" s="323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23" t="s">
        <v>32</v>
      </c>
      <c r="AG12" s="323"/>
      <c r="AH12" s="323"/>
      <c r="AI12" s="323"/>
      <c r="AJ12" s="323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23" t="s">
        <v>33</v>
      </c>
      <c r="AG13" s="323"/>
      <c r="AH13" s="323"/>
      <c r="AI13" s="323"/>
      <c r="AJ13" s="323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">
      <c r="B329" s="287">
        <f t="shared" ref="B329:B352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">
      <c r="B340" s="287">
        <f t="shared" si="32"/>
        <v>2021.9999888000148</v>
      </c>
      <c r="C340" s="304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9">
        <v>1366833</v>
      </c>
      <c r="O340" s="299">
        <v>1100521.952</v>
      </c>
      <c r="P340" s="292">
        <f>+N340-N339</f>
        <v>-61264.616099999985</v>
      </c>
    </row>
    <row r="341" spans="2:16" x14ac:dyDescent="0.2">
      <c r="B341" s="301">
        <f t="shared" si="32"/>
        <v>2022.0833221000148</v>
      </c>
      <c r="C341" s="302">
        <v>44562</v>
      </c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244">
        <v>1356402.0819999999</v>
      </c>
      <c r="O341" s="244">
        <v>1332505.1218999999</v>
      </c>
      <c r="P341" s="303">
        <f t="shared" ref="P341:P352" si="34">+N341-N340</f>
        <v>-10430.918000000063</v>
      </c>
    </row>
    <row r="342" spans="2:16" x14ac:dyDescent="0.2">
      <c r="B342" s="301">
        <f t="shared" si="32"/>
        <v>2022.1666554000149</v>
      </c>
      <c r="C342" s="302">
        <v>44593</v>
      </c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244">
        <v>1344504.6222000001</v>
      </c>
      <c r="O342" s="244">
        <f>+O341</f>
        <v>1332505.1218999999</v>
      </c>
      <c r="P342" s="303">
        <f t="shared" si="34"/>
        <v>-11897.459799999837</v>
      </c>
    </row>
    <row r="343" spans="2:16" x14ac:dyDescent="0.2">
      <c r="B343" s="301">
        <f t="shared" si="32"/>
        <v>2022.2499887000149</v>
      </c>
      <c r="C343" s="302">
        <v>44621</v>
      </c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244">
        <v>1259914.1980999999</v>
      </c>
      <c r="O343" s="244">
        <f>+O342</f>
        <v>1332505.1218999999</v>
      </c>
      <c r="P343" s="303">
        <f t="shared" si="34"/>
        <v>-84590.424100000178</v>
      </c>
    </row>
    <row r="344" spans="2:16" x14ac:dyDescent="0.2">
      <c r="B344" s="301">
        <f t="shared" si="32"/>
        <v>2022.333322000015</v>
      </c>
      <c r="C344" s="302">
        <v>44652</v>
      </c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244">
        <v>1291170.9442</v>
      </c>
      <c r="O344" s="244">
        <f>+O343</f>
        <v>1332505.1218999999</v>
      </c>
      <c r="P344" s="303">
        <f t="shared" si="34"/>
        <v>31256.746100000106</v>
      </c>
    </row>
    <row r="345" spans="2:16" x14ac:dyDescent="0.2">
      <c r="B345" s="301">
        <f t="shared" si="32"/>
        <v>2022.416655300015</v>
      </c>
      <c r="C345" s="302">
        <v>44682</v>
      </c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244">
        <v>1410361.6444000001</v>
      </c>
      <c r="O345" s="244">
        <f t="shared" ref="O345:O352" si="35">+O344</f>
        <v>1332505.1218999999</v>
      </c>
      <c r="P345" s="303">
        <f t="shared" si="34"/>
        <v>119190.70020000008</v>
      </c>
    </row>
    <row r="346" spans="2:16" x14ac:dyDescent="0.2">
      <c r="B346" s="301">
        <f t="shared" si="32"/>
        <v>2022.4999886000151</v>
      </c>
      <c r="C346" s="302">
        <v>44713</v>
      </c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244"/>
      <c r="O346" s="244">
        <f t="shared" si="35"/>
        <v>1332505.1218999999</v>
      </c>
      <c r="P346" s="303">
        <f t="shared" si="34"/>
        <v>-1410361.6444000001</v>
      </c>
    </row>
    <row r="347" spans="2:16" x14ac:dyDescent="0.2">
      <c r="B347" s="301">
        <f t="shared" si="32"/>
        <v>2022.5833219000151</v>
      </c>
      <c r="C347" s="302">
        <v>44743</v>
      </c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244"/>
      <c r="O347" s="244">
        <f t="shared" si="35"/>
        <v>1332505.1218999999</v>
      </c>
      <c r="P347" s="303">
        <f t="shared" si="34"/>
        <v>0</v>
      </c>
    </row>
    <row r="348" spans="2:16" x14ac:dyDescent="0.2">
      <c r="B348" s="301">
        <f t="shared" si="32"/>
        <v>2022.6666552000152</v>
      </c>
      <c r="C348" s="302">
        <v>44774</v>
      </c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244"/>
      <c r="O348" s="244">
        <f t="shared" si="35"/>
        <v>1332505.1218999999</v>
      </c>
      <c r="P348" s="303">
        <f t="shared" si="34"/>
        <v>0</v>
      </c>
    </row>
    <row r="349" spans="2:16" x14ac:dyDescent="0.2">
      <c r="B349" s="301">
        <f t="shared" si="32"/>
        <v>2022.7499885000152</v>
      </c>
      <c r="C349" s="302">
        <v>44805</v>
      </c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244"/>
      <c r="O349" s="244">
        <f t="shared" si="35"/>
        <v>1332505.1218999999</v>
      </c>
      <c r="P349" s="303">
        <f t="shared" si="34"/>
        <v>0</v>
      </c>
    </row>
    <row r="350" spans="2:16" x14ac:dyDescent="0.2">
      <c r="B350" s="301">
        <f t="shared" si="32"/>
        <v>2022.8333218000153</v>
      </c>
      <c r="C350" s="302">
        <v>44835</v>
      </c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244"/>
      <c r="O350" s="244">
        <f t="shared" si="35"/>
        <v>1332505.1218999999</v>
      </c>
      <c r="P350" s="303">
        <f t="shared" si="34"/>
        <v>0</v>
      </c>
    </row>
    <row r="351" spans="2:16" x14ac:dyDescent="0.2">
      <c r="B351" s="301">
        <f t="shared" si="32"/>
        <v>2022.9166551000153</v>
      </c>
      <c r="C351" s="302">
        <v>44866</v>
      </c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244"/>
      <c r="O351" s="244">
        <f t="shared" si="35"/>
        <v>1332505.1218999999</v>
      </c>
      <c r="P351" s="303">
        <f t="shared" si="34"/>
        <v>0</v>
      </c>
    </row>
    <row r="352" spans="2:16" x14ac:dyDescent="0.2">
      <c r="B352" s="301">
        <f t="shared" si="32"/>
        <v>2022.9999884000154</v>
      </c>
      <c r="C352" s="302">
        <v>44896</v>
      </c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244"/>
      <c r="O352" s="244">
        <f t="shared" si="35"/>
        <v>1332505.1218999999</v>
      </c>
      <c r="P352" s="303">
        <f t="shared" si="34"/>
        <v>0</v>
      </c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topLeftCell="A20" zoomScale="115" zoomScaleNormal="115" workbookViewId="0">
      <selection activeCell="P52" sqref="P52"/>
    </sheetView>
  </sheetViews>
  <sheetFormatPr baseColWidth="10" defaultColWidth="11.42578125" defaultRowHeight="12.75" x14ac:dyDescent="0.2"/>
  <cols>
    <col min="1" max="1" width="5.5703125" style="230" customWidth="1"/>
    <col min="2" max="2" width="7" style="230" customWidth="1"/>
    <col min="3" max="3" width="9" style="230" customWidth="1"/>
    <col min="4" max="4" width="11.42578125" style="230"/>
    <col min="5" max="5" width="9.5703125" style="230" customWidth="1"/>
    <col min="6" max="6" width="9.85546875" style="230" bestFit="1" customWidth="1"/>
    <col min="7" max="7" width="8.140625" style="230" customWidth="1"/>
    <col min="8" max="8" width="11.42578125" style="230"/>
    <col min="9" max="9" width="7.28515625" style="230" bestFit="1" customWidth="1"/>
    <col min="10" max="10" width="12.28515625" style="230" bestFit="1" customWidth="1"/>
    <col min="11" max="11" width="8.85546875" style="230" customWidth="1"/>
    <col min="12" max="12" width="10.140625" style="230" customWidth="1"/>
    <col min="13" max="13" width="4.42578125" style="230" customWidth="1"/>
    <col min="14" max="14" width="12.42578125" style="230" bestFit="1" customWidth="1"/>
    <col min="15" max="15" width="11.42578125" style="230"/>
    <col min="16" max="16" width="13.5703125" style="230" customWidth="1"/>
    <col min="17" max="16384" width="11.42578125" style="230"/>
  </cols>
  <sheetData>
    <row r="2" spans="1:15" ht="20.25" customHeight="1" x14ac:dyDescent="0.3">
      <c r="B2" s="328" t="s">
        <v>67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31"/>
    </row>
    <row r="3" spans="1:15" ht="15.75" customHeight="1" x14ac:dyDescent="0.25">
      <c r="A3" s="23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x14ac:dyDescent="0.2">
      <c r="N4" s="230" t="s">
        <v>49</v>
      </c>
    </row>
    <row r="5" spans="1:15" x14ac:dyDescent="0.2">
      <c r="N5" s="233"/>
      <c r="O5" s="233"/>
    </row>
    <row r="17" spans="3:14" x14ac:dyDescent="0.2">
      <c r="N17" s="230" t="s">
        <v>57</v>
      </c>
    </row>
    <row r="31" spans="3:14" ht="18" customHeight="1" x14ac:dyDescent="0.2"/>
    <row r="32" spans="3:14" ht="15.75" x14ac:dyDescent="0.25">
      <c r="C32" s="234" t="s">
        <v>48</v>
      </c>
    </row>
    <row r="33" spans="2:13" ht="16.5" customHeight="1" x14ac:dyDescent="0.25">
      <c r="C33" s="234" t="s">
        <v>66</v>
      </c>
    </row>
    <row r="34" spans="2:13" ht="57" customHeight="1" x14ac:dyDescent="0.2">
      <c r="C34" s="329" t="s">
        <v>68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</row>
    <row r="35" spans="2:13" ht="3.75" customHeight="1" x14ac:dyDescent="0.2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2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2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2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2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2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2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2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5" hidden="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5" customHeigh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2">
      <c r="N53" s="238"/>
    </row>
    <row r="67" spans="3:14" x14ac:dyDescent="0.2">
      <c r="N67" s="233"/>
    </row>
    <row r="78" spans="3:14" ht="15.75" x14ac:dyDescent="0.25">
      <c r="C78" s="234" t="s">
        <v>61</v>
      </c>
    </row>
    <row r="79" spans="3:14" ht="48.75" customHeight="1" x14ac:dyDescent="0.25">
      <c r="C79" s="324" t="s">
        <v>69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3:14" ht="9" customHeight="1" x14ac:dyDescent="0.2"/>
    <row r="81" spans="1:15" ht="44.25" customHeight="1" x14ac:dyDescent="0.2">
      <c r="M81" s="239"/>
      <c r="O81" s="240"/>
    </row>
    <row r="82" spans="1:15" ht="46.5" customHeight="1" x14ac:dyDescent="0.2">
      <c r="B82" s="32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239"/>
      <c r="O82" s="240"/>
    </row>
    <row r="83" spans="1:15" ht="4.5" customHeight="1" x14ac:dyDescent="0.2">
      <c r="A83" s="235"/>
      <c r="B83" s="325" t="s">
        <v>57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239"/>
    </row>
    <row r="84" spans="1:15" ht="15" customHeight="1" x14ac:dyDescent="0.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2">
      <c r="N87" s="240"/>
      <c r="O87" s="241"/>
    </row>
    <row r="110" spans="2:2" x14ac:dyDescent="0.2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2022-06-10T20:56:31Z</cp:lastPrinted>
  <dcterms:created xsi:type="dcterms:W3CDTF">1997-07-01T22:48:52Z</dcterms:created>
  <dcterms:modified xsi:type="dcterms:W3CDTF">2022-06-10T20:56:56Z</dcterms:modified>
</cp:coreProperties>
</file>